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thomasmclaughlin/Desktop/Meetly409A/"/>
    </mc:Choice>
  </mc:AlternateContent>
  <bookViews>
    <workbookView xWindow="-37400" yWindow="-28340" windowWidth="47760" windowHeight="27140"/>
  </bookViews>
  <sheets>
    <sheet name="Breakpoints" sheetId="1" r:id="rId1"/>
    <sheet name="DLOM" sheetId="3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" l="1"/>
  <c r="B9" i="3"/>
  <c r="D5" i="3"/>
  <c r="D9" i="3"/>
  <c r="B14" i="3"/>
  <c r="D11" i="3"/>
  <c r="B11" i="3"/>
  <c r="D10" i="3"/>
  <c r="B10" i="3"/>
  <c r="D8" i="3"/>
  <c r="B8" i="3"/>
  <c r="D7" i="3"/>
  <c r="B7" i="3"/>
  <c r="C11" i="1"/>
  <c r="B11" i="1"/>
  <c r="D11" i="1"/>
  <c r="H15" i="1"/>
  <c r="B15" i="1"/>
  <c r="D15" i="1"/>
  <c r="E15" i="1"/>
  <c r="H27" i="1"/>
  <c r="B16" i="1"/>
  <c r="D16" i="1"/>
  <c r="E16" i="1"/>
  <c r="H28" i="1"/>
  <c r="B17" i="1"/>
  <c r="D17" i="1"/>
  <c r="E17" i="1"/>
  <c r="H29" i="1"/>
  <c r="B18" i="1"/>
  <c r="D18" i="1"/>
  <c r="E18" i="1"/>
  <c r="H30" i="1"/>
  <c r="B19" i="1"/>
  <c r="D19" i="1"/>
  <c r="E19" i="1"/>
  <c r="H31" i="1"/>
  <c r="B20" i="1"/>
  <c r="D20" i="1"/>
  <c r="E20" i="1"/>
  <c r="H32" i="1"/>
  <c r="B21" i="1"/>
  <c r="D21" i="1"/>
  <c r="E21" i="1"/>
  <c r="H33" i="1"/>
  <c r="B22" i="1"/>
  <c r="D22" i="1"/>
  <c r="E22" i="1"/>
  <c r="H22" i="1"/>
  <c r="H34" i="1"/>
  <c r="B23" i="1"/>
  <c r="D23" i="1"/>
  <c r="E23" i="1"/>
  <c r="H23" i="1"/>
  <c r="H35" i="1"/>
  <c r="E24" i="1"/>
  <c r="H24" i="1"/>
  <c r="H36" i="1"/>
  <c r="H37" i="1"/>
  <c r="I15" i="1"/>
  <c r="I27" i="1"/>
  <c r="I28" i="1"/>
  <c r="I29" i="1"/>
  <c r="I30" i="1"/>
  <c r="I31" i="1"/>
  <c r="I32" i="1"/>
  <c r="I33" i="1"/>
  <c r="I34" i="1"/>
  <c r="I35" i="1"/>
  <c r="I24" i="1"/>
  <c r="I36" i="1"/>
  <c r="I37" i="1"/>
  <c r="J27" i="1"/>
  <c r="J16" i="1"/>
  <c r="J28" i="1"/>
  <c r="J17" i="1"/>
  <c r="J29" i="1"/>
  <c r="J18" i="1"/>
  <c r="J30" i="1"/>
  <c r="J19" i="1"/>
  <c r="J31" i="1"/>
  <c r="J20" i="1"/>
  <c r="J32" i="1"/>
  <c r="J21" i="1"/>
  <c r="J33" i="1"/>
  <c r="J22" i="1"/>
  <c r="J34" i="1"/>
  <c r="J23" i="1"/>
  <c r="J35" i="1"/>
  <c r="J24" i="1"/>
  <c r="J36" i="1"/>
  <c r="J37" i="1"/>
  <c r="K27" i="1"/>
  <c r="K28" i="1"/>
  <c r="K17" i="1"/>
  <c r="K29" i="1"/>
  <c r="K18" i="1"/>
  <c r="K30" i="1"/>
  <c r="K19" i="1"/>
  <c r="K31" i="1"/>
  <c r="K20" i="1"/>
  <c r="K32" i="1"/>
  <c r="K21" i="1"/>
  <c r="K33" i="1"/>
  <c r="K22" i="1"/>
  <c r="K34" i="1"/>
  <c r="K23" i="1"/>
  <c r="K35" i="1"/>
  <c r="K24" i="1"/>
  <c r="K36" i="1"/>
  <c r="K37" i="1"/>
  <c r="L27" i="1"/>
  <c r="L28" i="1"/>
  <c r="L29" i="1"/>
  <c r="L18" i="1"/>
  <c r="L30" i="1"/>
  <c r="L19" i="1"/>
  <c r="L31" i="1"/>
  <c r="L20" i="1"/>
  <c r="L32" i="1"/>
  <c r="L21" i="1"/>
  <c r="L33" i="1"/>
  <c r="L22" i="1"/>
  <c r="L34" i="1"/>
  <c r="L23" i="1"/>
  <c r="L35" i="1"/>
  <c r="L24" i="1"/>
  <c r="L36" i="1"/>
  <c r="L37" i="1"/>
  <c r="M27" i="1"/>
  <c r="M28" i="1"/>
  <c r="M29" i="1"/>
  <c r="M30" i="1"/>
  <c r="M19" i="1"/>
  <c r="M31" i="1"/>
  <c r="M20" i="1"/>
  <c r="M32" i="1"/>
  <c r="M21" i="1"/>
  <c r="M33" i="1"/>
  <c r="M22" i="1"/>
  <c r="M34" i="1"/>
  <c r="M23" i="1"/>
  <c r="M35" i="1"/>
  <c r="M24" i="1"/>
  <c r="M36" i="1"/>
  <c r="M37" i="1"/>
  <c r="N27" i="1"/>
  <c r="N28" i="1"/>
  <c r="N29" i="1"/>
  <c r="N30" i="1"/>
  <c r="N31" i="1"/>
  <c r="N20" i="1"/>
  <c r="N32" i="1"/>
  <c r="N21" i="1"/>
  <c r="N33" i="1"/>
  <c r="N22" i="1"/>
  <c r="N34" i="1"/>
  <c r="N23" i="1"/>
  <c r="N35" i="1"/>
  <c r="N24" i="1"/>
  <c r="N36" i="1"/>
  <c r="N37" i="1"/>
  <c r="O27" i="1"/>
  <c r="O28" i="1"/>
  <c r="O29" i="1"/>
  <c r="O30" i="1"/>
  <c r="O31" i="1"/>
  <c r="O32" i="1"/>
  <c r="O21" i="1"/>
  <c r="O33" i="1"/>
  <c r="O22" i="1"/>
  <c r="O34" i="1"/>
  <c r="O23" i="1"/>
  <c r="O35" i="1"/>
  <c r="O24" i="1"/>
  <c r="O36" i="1"/>
  <c r="O37" i="1"/>
  <c r="P27" i="1"/>
  <c r="P28" i="1"/>
  <c r="P29" i="1"/>
  <c r="P30" i="1"/>
  <c r="P31" i="1"/>
  <c r="P32" i="1"/>
  <c r="P33" i="1"/>
  <c r="P34" i="1"/>
  <c r="P23" i="1"/>
  <c r="P35" i="1"/>
  <c r="P24" i="1"/>
  <c r="P36" i="1"/>
  <c r="P37" i="1"/>
  <c r="H38" i="1"/>
  <c r="I38" i="1"/>
  <c r="J38" i="1"/>
  <c r="K38" i="1"/>
  <c r="L38" i="1"/>
  <c r="M38" i="1"/>
  <c r="N38" i="1"/>
  <c r="O38" i="1"/>
  <c r="P38" i="1"/>
  <c r="G15" i="1"/>
  <c r="G27" i="1"/>
  <c r="G28" i="1"/>
  <c r="G29" i="1"/>
  <c r="G30" i="1"/>
  <c r="G31" i="1"/>
  <c r="G32" i="1"/>
  <c r="G21" i="1"/>
  <c r="G33" i="1"/>
  <c r="G22" i="1"/>
  <c r="G34" i="1"/>
  <c r="G23" i="1"/>
  <c r="G35" i="1"/>
  <c r="G24" i="1"/>
  <c r="G36" i="1"/>
  <c r="G37" i="1"/>
  <c r="G38" i="1"/>
  <c r="A16" i="1"/>
  <c r="A28" i="1"/>
  <c r="B28" i="1"/>
  <c r="C16" i="1"/>
  <c r="C28" i="1"/>
  <c r="D28" i="1"/>
  <c r="E28" i="1"/>
  <c r="A17" i="1"/>
  <c r="A29" i="1"/>
  <c r="B29" i="1"/>
  <c r="C17" i="1"/>
  <c r="C29" i="1"/>
  <c r="D29" i="1"/>
  <c r="E29" i="1"/>
  <c r="A18" i="1"/>
  <c r="A30" i="1"/>
  <c r="B30" i="1"/>
  <c r="C18" i="1"/>
  <c r="C30" i="1"/>
  <c r="D30" i="1"/>
  <c r="E30" i="1"/>
  <c r="A19" i="1"/>
  <c r="A31" i="1"/>
  <c r="B31" i="1"/>
  <c r="C19" i="1"/>
  <c r="C31" i="1"/>
  <c r="D31" i="1"/>
  <c r="E31" i="1"/>
  <c r="A20" i="1"/>
  <c r="A32" i="1"/>
  <c r="B32" i="1"/>
  <c r="C20" i="1"/>
  <c r="C32" i="1"/>
  <c r="D32" i="1"/>
  <c r="E32" i="1"/>
  <c r="A21" i="1"/>
  <c r="A33" i="1"/>
  <c r="B33" i="1"/>
  <c r="C21" i="1"/>
  <c r="C33" i="1"/>
  <c r="D33" i="1"/>
  <c r="E33" i="1"/>
  <c r="A22" i="1"/>
  <c r="A34" i="1"/>
  <c r="B34" i="1"/>
  <c r="C22" i="1"/>
  <c r="C34" i="1"/>
  <c r="D34" i="1"/>
  <c r="E34" i="1"/>
  <c r="A23" i="1"/>
  <c r="A35" i="1"/>
  <c r="B35" i="1"/>
  <c r="C23" i="1"/>
  <c r="C35" i="1"/>
  <c r="D35" i="1"/>
  <c r="E35" i="1"/>
  <c r="A24" i="1"/>
  <c r="A36" i="1"/>
  <c r="B36" i="1"/>
  <c r="C36" i="1"/>
  <c r="D36" i="1"/>
  <c r="E36" i="1"/>
  <c r="B27" i="1"/>
  <c r="C15" i="1"/>
  <c r="C27" i="1"/>
  <c r="D27" i="1"/>
  <c r="E27" i="1"/>
  <c r="A27" i="1"/>
</calcChain>
</file>

<file path=xl/sharedStrings.xml><?xml version="1.0" encoding="utf-8"?>
<sst xmlns="http://schemas.openxmlformats.org/spreadsheetml/2006/main" count="76" uniqueCount="47">
  <si>
    <t>-</t>
  </si>
  <si>
    <t>Series Seed Preferred</t>
  </si>
  <si>
    <t>Series A Preferred</t>
  </si>
  <si>
    <t>Series B Preferred</t>
  </si>
  <si>
    <t>Common</t>
  </si>
  <si>
    <t>Equity Incentive Plan
$0.1100 Strike</t>
  </si>
  <si>
    <t>Equity Incentive Plan
$0.1700 Strike</t>
  </si>
  <si>
    <t>Equity Incentive Plan
$0.2000 Strike</t>
  </si>
  <si>
    <t>Series Seed Warrants
$0.2650 Strike</t>
  </si>
  <si>
    <t>Equity Incentive Plan
$0.6400 Strike</t>
  </si>
  <si>
    <t>Equity Incentive Plan
FMV Strike</t>
  </si>
  <si>
    <t>Number of Shares</t>
  </si>
  <si>
    <t>Purchase (or exercise) Price</t>
  </si>
  <si>
    <t>Preference multiplier</t>
  </si>
  <si>
    <t>Liquidation preference</t>
  </si>
  <si>
    <t>Company Value</t>
  </si>
  <si>
    <t>From</t>
  </si>
  <si>
    <t>To</t>
  </si>
  <si>
    <t>Delta</t>
  </si>
  <si>
    <t>Option Value</t>
  </si>
  <si>
    <t>Incremental Option Value</t>
  </si>
  <si>
    <t>--</t>
  </si>
  <si>
    <t>Infinity</t>
  </si>
  <si>
    <t>Descriptions:</t>
  </si>
  <si>
    <t>Common participates</t>
  </si>
  <si>
    <t>$0.11 Options participate</t>
  </si>
  <si>
    <t>$0.17 Options participate</t>
  </si>
  <si>
    <t>$0.20 Options participate</t>
  </si>
  <si>
    <t>FMV Options participate</t>
  </si>
  <si>
    <t>Series Seed converts to Common and $0.2650 Warrants participate</t>
  </si>
  <si>
    <t>Series A converts to Common</t>
  </si>
  <si>
    <t>$0.64 Options participate</t>
  </si>
  <si>
    <t>Series B converts to Common</t>
  </si>
  <si>
    <t>Share class value</t>
  </si>
  <si>
    <t>Per share value (fully-marketable basis)</t>
  </si>
  <si>
    <t>Fair market value of Equity</t>
  </si>
  <si>
    <t>5 year Treasury rate as of 04/30/2016</t>
  </si>
  <si>
    <t>Volatility</t>
  </si>
  <si>
    <t>Time to exit</t>
  </si>
  <si>
    <t>Meetly Discount for Lack of Marketability</t>
  </si>
  <si>
    <t>5 year risk-free Treasury rate as of 04/30/2016</t>
  </si>
  <si>
    <t>Chaffe Model</t>
  </si>
  <si>
    <t>Finnerty Model</t>
  </si>
  <si>
    <t xml:space="preserve">- </t>
  </si>
  <si>
    <t>Volatility:</t>
  </si>
  <si>
    <t>Selected Discount for Lack of Marketability:</t>
  </si>
  <si>
    <t>Meetly Breakpoints and Options Pricing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</si>
</sst>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00.00%"/>
    <numFmt numFmtId="166" formatCode="_-&quot;$&quot;* #,##0.0000_-;\-&quot;$&quot;* #,##0.0000_-;_-&quot;$&quot;* &quot;-&quot;??_-;_-@_-"/>
    <numFmt numFmtId="172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1F1F1F"/>
      <name val="Garamond"/>
    </font>
    <font>
      <sz val="12"/>
      <color rgb="FF1F1F1F"/>
      <name val="Garamond"/>
    </font>
    <font>
      <sz val="11"/>
      <color theme="1"/>
      <name val="Garamond"/>
    </font>
    <font>
      <sz val="12"/>
      <color rgb="FFB3B3B8"/>
      <name val="Garamond"/>
    </font>
    <font>
      <b/>
      <sz val="12"/>
      <color rgb="FF1F1F1F"/>
      <name val="Garamond"/>
    </font>
    <font>
      <i/>
      <sz val="12"/>
      <color rgb="FF1F1F1F"/>
      <name val="Garamond"/>
    </font>
    <font>
      <sz val="12"/>
      <color theme="0" tint="-0.499984740745262"/>
      <name val="Garamond"/>
    </font>
    <font>
      <b/>
      <sz val="11"/>
      <color theme="1"/>
      <name val="Garamond"/>
    </font>
    <font>
      <sz val="12"/>
      <color theme="3" tint="-0.249977111117893"/>
      <name val="Garamond"/>
    </font>
    <font>
      <sz val="12"/>
      <color theme="0" tint="-0.34998626667073579"/>
      <name val="Garamond"/>
    </font>
    <font>
      <sz val="11"/>
      <color theme="3" tint="-0.249977111117893"/>
      <name val="Garamond"/>
    </font>
  </fonts>
  <fills count="4">
    <fill>
      <patternFill patternType="none"/>
    </fill>
    <fill>
      <patternFill patternType="gray125"/>
    </fill>
    <fill>
      <patternFill patternType="solid">
        <fgColor rgb="FFF5F6FF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888A85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2" borderId="0" xfId="0" applyFont="1" applyFill="1" applyAlignment="1"/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166" fontId="3" fillId="0" borderId="0" xfId="2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4" fontId="5" fillId="2" borderId="0" xfId="2" applyFont="1" applyFill="1" applyAlignment="1"/>
    <xf numFmtId="0" fontId="8" fillId="2" borderId="0" xfId="0" applyFont="1" applyFill="1"/>
    <xf numFmtId="10" fontId="5" fillId="2" borderId="0" xfId="0" applyNumberFormat="1" applyFont="1" applyFill="1" applyAlignment="1"/>
    <xf numFmtId="172" fontId="3" fillId="0" borderId="0" xfId="1" applyNumberFormat="1" applyFont="1" applyAlignment="1">
      <alignment horizontal="left" vertical="center" wrapText="1"/>
    </xf>
    <xf numFmtId="44" fontId="3" fillId="0" borderId="0" xfId="2" applyFont="1" applyAlignment="1">
      <alignment horizontal="left" vertical="center" wrapText="1"/>
    </xf>
    <xf numFmtId="2" fontId="3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9" fillId="0" borderId="2" xfId="0" applyFont="1" applyBorder="1"/>
    <xf numFmtId="16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4" fontId="3" fillId="0" borderId="2" xfId="2" applyFont="1" applyBorder="1" applyAlignment="1">
      <alignment horizontal="left" vertical="center" wrapText="1"/>
    </xf>
    <xf numFmtId="44" fontId="10" fillId="3" borderId="3" xfId="2" applyFont="1" applyFill="1" applyBorder="1" applyAlignment="1">
      <alignment horizontal="left" vertical="center" wrapText="1"/>
    </xf>
    <xf numFmtId="10" fontId="3" fillId="0" borderId="0" xfId="3" applyNumberFormat="1" applyFont="1" applyAlignment="1">
      <alignment horizontal="right" vertical="center" wrapText="1"/>
    </xf>
    <xf numFmtId="0" fontId="11" fillId="2" borderId="0" xfId="0" applyFont="1" applyFill="1"/>
    <xf numFmtId="10" fontId="12" fillId="3" borderId="4" xfId="3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 patternType="solid">
          <fgColor rgb="FFC6D9F0"/>
          <bgColor rgb="FFC6D9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-1371600</xdr:colOff>
      <xdr:row>0</xdr:row>
      <xdr:rowOff>19050</xdr:rowOff>
    </xdr:from>
    <xdr:ext cx="1371600" cy="4762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-1371600</xdr:colOff>
      <xdr:row>0</xdr:row>
      <xdr:rowOff>19050</xdr:rowOff>
    </xdr:from>
    <xdr:ext cx="1371600" cy="4762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5600" y="19050"/>
          <a:ext cx="137160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tabSelected="1" zoomScale="75" zoomScaleNormal="90" zoomScalePageLayoutView="90" workbookViewId="0">
      <pane ySplit="7" topLeftCell="A8" activePane="bottomLeft" state="frozen"/>
      <selection pane="bottomLeft" activeCell="D44" sqref="D44:D45"/>
    </sheetView>
  </sheetViews>
  <sheetFormatPr baseColWidth="10" defaultRowHeight="15" x14ac:dyDescent="0.2"/>
  <cols>
    <col min="1" max="1" width="30" customWidth="1"/>
    <col min="2" max="5" width="20" customWidth="1"/>
    <col min="6" max="6" width="43.1640625" customWidth="1"/>
    <col min="7" max="18" width="30" customWidth="1"/>
  </cols>
  <sheetData>
    <row r="1" spans="1:18" s="3" customFormat="1" ht="20" customHeight="1" x14ac:dyDescent="0.2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s="3" customFormat="1" ht="20" customHeight="1" x14ac:dyDescent="0.2">
      <c r="A2" s="15">
        <v>6123712.2697641859</v>
      </c>
      <c r="B2" s="16" t="s">
        <v>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s="3" customFormat="1" ht="20" customHeight="1" x14ac:dyDescent="0.2">
      <c r="A3" s="17">
        <v>1.2800000000000001E-2</v>
      </c>
      <c r="B3" s="16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s="3" customFormat="1" ht="20" customHeight="1" x14ac:dyDescent="0.2">
      <c r="A4" s="17">
        <v>0.52600000000000002</v>
      </c>
      <c r="B4" s="16" t="s">
        <v>37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s="3" customFormat="1" ht="20" customHeight="1" x14ac:dyDescent="0.2">
      <c r="A5" s="4">
        <v>5</v>
      </c>
      <c r="B5" s="16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s="3" customFormat="1" ht="16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8" s="3" customFormat="1" ht="33" thickBot="1" x14ac:dyDescent="0.25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10</v>
      </c>
      <c r="J7" s="6" t="s">
        <v>8</v>
      </c>
      <c r="K7" s="6" t="s">
        <v>9</v>
      </c>
      <c r="L7" s="6"/>
      <c r="M7" s="6"/>
    </row>
    <row r="8" spans="1:18" s="3" customFormat="1" ht="20" customHeight="1" x14ac:dyDescent="0.2">
      <c r="A8" s="7" t="s">
        <v>11</v>
      </c>
      <c r="B8" s="18">
        <v>1170000</v>
      </c>
      <c r="C8" s="18">
        <v>1950000</v>
      </c>
      <c r="D8" s="18">
        <v>1840000</v>
      </c>
      <c r="E8" s="18">
        <v>5368000</v>
      </c>
      <c r="F8" s="18">
        <v>15000</v>
      </c>
      <c r="G8" s="18">
        <v>125500</v>
      </c>
      <c r="H8" s="18">
        <v>573000</v>
      </c>
      <c r="I8" s="18">
        <v>1000000</v>
      </c>
      <c r="J8" s="18">
        <v>285000</v>
      </c>
      <c r="K8" s="18">
        <v>1157774</v>
      </c>
      <c r="L8" s="8"/>
      <c r="M8" s="8"/>
    </row>
    <row r="9" spans="1:18" s="3" customFormat="1" ht="20" customHeight="1" x14ac:dyDescent="0.2">
      <c r="A9" s="7" t="s">
        <v>12</v>
      </c>
      <c r="B9" s="9">
        <v>0.26500000000000001</v>
      </c>
      <c r="C9" s="9">
        <v>0.44500000000000001</v>
      </c>
      <c r="D9" s="9">
        <v>1.22</v>
      </c>
      <c r="E9" s="9" t="s">
        <v>0</v>
      </c>
      <c r="F9" s="9">
        <v>0.11</v>
      </c>
      <c r="G9" s="9">
        <v>0.17</v>
      </c>
      <c r="H9" s="9">
        <v>0.2</v>
      </c>
      <c r="I9" s="9">
        <v>0.25355274999999999</v>
      </c>
      <c r="J9" s="9">
        <v>0.26500000000000001</v>
      </c>
      <c r="K9" s="9">
        <v>0.64</v>
      </c>
      <c r="L9" s="9"/>
      <c r="M9" s="9"/>
    </row>
    <row r="10" spans="1:18" s="3" customFormat="1" ht="20" customHeight="1" x14ac:dyDescent="0.2">
      <c r="A10" s="7" t="s">
        <v>13</v>
      </c>
      <c r="B10" s="20">
        <v>1</v>
      </c>
      <c r="C10" s="20">
        <v>1</v>
      </c>
      <c r="D10" s="20">
        <v>1.5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/>
      <c r="M10" s="10"/>
    </row>
    <row r="11" spans="1:18" s="3" customFormat="1" ht="20" customHeight="1" x14ac:dyDescent="0.2">
      <c r="A11" s="7" t="s">
        <v>14</v>
      </c>
      <c r="B11" s="19">
        <f ca="1">INDIRECT(ADDRESS(ROW()-3,COLUMN()))*INDIRECT(ADDRESS(ROW()-2,COLUMN()))*INDIRECT(ADDRESS(ROW()-1,COLUMN()))</f>
        <v>310050</v>
      </c>
      <c r="C11" s="19">
        <f ca="1">INDIRECT(ADDRESS(ROW()-3,COLUMN()))*INDIRECT(ADDRESS(ROW()-2,COLUMN()))*INDIRECT(ADDRESS(ROW()-1,COLUMN()))</f>
        <v>867750</v>
      </c>
      <c r="D11" s="19">
        <f ca="1">INDIRECT(ADDRESS(ROW()-3,COLUMN()))*INDIRECT(ADDRESS(ROW()-2,COLUMN()))*INDIRECT(ADDRESS(ROW()-1,COLUMN()))</f>
        <v>3367200</v>
      </c>
      <c r="E11" s="10" t="s">
        <v>0</v>
      </c>
      <c r="F11" s="10" t="s">
        <v>0</v>
      </c>
      <c r="G11" s="10" t="s">
        <v>0</v>
      </c>
      <c r="H11" s="10" t="s">
        <v>0</v>
      </c>
      <c r="I11" s="10" t="s">
        <v>0</v>
      </c>
      <c r="J11" s="10" t="s">
        <v>0</v>
      </c>
      <c r="K11" s="10" t="s">
        <v>0</v>
      </c>
      <c r="L11" s="10"/>
      <c r="M11" s="10"/>
    </row>
    <row r="12" spans="1:18" s="3" customFormat="1" ht="20" customHeight="1" x14ac:dyDescent="0.2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8" s="3" customFormat="1" x14ac:dyDescent="0.2">
      <c r="A13" s="21" t="s">
        <v>15</v>
      </c>
    </row>
    <row r="14" spans="1:18" s="21" customFormat="1" x14ac:dyDescent="0.2">
      <c r="A14" s="22" t="s">
        <v>16</v>
      </c>
      <c r="B14" s="22" t="s">
        <v>17</v>
      </c>
      <c r="C14" s="22" t="s">
        <v>18</v>
      </c>
      <c r="D14" s="22" t="s">
        <v>19</v>
      </c>
      <c r="E14" s="22" t="s">
        <v>20</v>
      </c>
      <c r="F14" s="22" t="s">
        <v>21</v>
      </c>
      <c r="G14" s="22" t="s">
        <v>1</v>
      </c>
      <c r="H14" s="22" t="s">
        <v>2</v>
      </c>
      <c r="I14" s="22" t="s">
        <v>3</v>
      </c>
      <c r="J14" s="22" t="s">
        <v>4</v>
      </c>
      <c r="K14" s="22" t="s">
        <v>5</v>
      </c>
      <c r="L14" s="22" t="s">
        <v>6</v>
      </c>
      <c r="M14" s="22" t="s">
        <v>7</v>
      </c>
      <c r="N14" s="22" t="s">
        <v>10</v>
      </c>
      <c r="O14" s="22" t="s">
        <v>8</v>
      </c>
      <c r="P14" s="22" t="s">
        <v>9</v>
      </c>
    </row>
    <row r="15" spans="1:18" s="3" customFormat="1" ht="20" customHeight="1" x14ac:dyDescent="0.2">
      <c r="A15" s="11">
        <v>0</v>
      </c>
      <c r="B15" s="11">
        <f ca="1">B11+C11+D11</f>
        <v>4545000</v>
      </c>
      <c r="C15" s="11">
        <f t="shared" ref="C15:C23" ca="1" si="0">B15 - A15</f>
        <v>4545000</v>
      </c>
      <c r="D15" s="11">
        <f t="shared" ref="D15:D23" ca="1" si="1">($A$2*NORMDIST((LN($A$2/B15)+($A$3+($A$4^2)/2)* $A$5)/($A$4*($A$5^0.5)),0,1,TRUE)) - (NORMDIST(((LN($A$2/B15)+($A$3+($A$4^2)/2) *$A$5)/($A$4*($A$5^0.5)) - ($A$4*$A$5^0.5)),0,1,TRUE)*B15*EXP(-$A$3* $A$5))</f>
        <v>3328785.4564485801</v>
      </c>
      <c r="E15" s="11">
        <f ca="1">$A$2 - D15</f>
        <v>2794926.8133156057</v>
      </c>
      <c r="F15" s="12"/>
      <c r="G15" s="27">
        <f ca="1">B11/(B11+C11+D11)</f>
        <v>6.8217821782178223E-2</v>
      </c>
      <c r="H15" s="27">
        <f ca="1">C11/(B11+C11+D11)</f>
        <v>0.19092409240924094</v>
      </c>
      <c r="I15" s="27">
        <f ca="1">D11/(B11+C11+D11)</f>
        <v>0.74085808580858081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13"/>
      <c r="R15" s="13"/>
    </row>
    <row r="16" spans="1:18" s="3" customFormat="1" ht="20" customHeight="1" x14ac:dyDescent="0.2">
      <c r="A16" s="11">
        <f t="shared" ref="A16:A24" ca="1" si="2">B15</f>
        <v>4545000</v>
      </c>
      <c r="B16" s="11">
        <f ca="1">E8*F9+B15</f>
        <v>5135480</v>
      </c>
      <c r="C16" s="11">
        <f t="shared" ca="1" si="0"/>
        <v>590480</v>
      </c>
      <c r="D16" s="11">
        <f t="shared" ca="1" si="1"/>
        <v>3124096.412910914</v>
      </c>
      <c r="E16" s="11">
        <f t="shared" ref="E16:E23" ca="1" si="3">D15 - D16</f>
        <v>204689.04353766609</v>
      </c>
      <c r="F16" s="12"/>
      <c r="G16" s="27">
        <v>0</v>
      </c>
      <c r="H16" s="27">
        <v>0</v>
      </c>
      <c r="I16" s="27">
        <v>0</v>
      </c>
      <c r="J16" s="27">
        <f>E8/E8</f>
        <v>1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13"/>
      <c r="R16" s="13"/>
    </row>
    <row r="17" spans="1:18" s="3" customFormat="1" ht="20" customHeight="1" x14ac:dyDescent="0.2">
      <c r="A17" s="11">
        <f t="shared" ca="1" si="2"/>
        <v>5135480</v>
      </c>
      <c r="B17" s="11">
        <f ca="1">(E8+F8)*G9-F8*F9+B15</f>
        <v>5458460</v>
      </c>
      <c r="C17" s="11">
        <f t="shared" ca="1" si="0"/>
        <v>322980</v>
      </c>
      <c r="D17" s="11">
        <f t="shared" ca="1" si="1"/>
        <v>3020838.0256339954</v>
      </c>
      <c r="E17" s="11">
        <f t="shared" ca="1" si="3"/>
        <v>103258.38727691863</v>
      </c>
      <c r="F17" s="12"/>
      <c r="G17" s="27">
        <v>0</v>
      </c>
      <c r="H17" s="27">
        <v>0</v>
      </c>
      <c r="I17" s="27">
        <v>0</v>
      </c>
      <c r="J17" s="27">
        <f>E8/(E8+F8)</f>
        <v>0.99721344974921045</v>
      </c>
      <c r="K17" s="27">
        <f>F8/(E8+F8)</f>
        <v>2.7865502507895224E-3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13"/>
      <c r="R17" s="13"/>
    </row>
    <row r="18" spans="1:18" s="3" customFormat="1" ht="20" customHeight="1" x14ac:dyDescent="0.2">
      <c r="A18" s="11">
        <f t="shared" ca="1" si="2"/>
        <v>5458460</v>
      </c>
      <c r="B18" s="11">
        <f ca="1">(E8+F8+G8)*H9-F8*F9-G8*G9+B15</f>
        <v>5623715</v>
      </c>
      <c r="C18" s="11">
        <f t="shared" ca="1" si="0"/>
        <v>165255</v>
      </c>
      <c r="D18" s="11">
        <f t="shared" ca="1" si="1"/>
        <v>2970172.880830464</v>
      </c>
      <c r="E18" s="11">
        <f t="shared" ca="1" si="3"/>
        <v>50665.144803531468</v>
      </c>
      <c r="F18" s="12"/>
      <c r="G18" s="27">
        <v>0</v>
      </c>
      <c r="H18" s="27">
        <v>0</v>
      </c>
      <c r="I18" s="27">
        <v>0</v>
      </c>
      <c r="J18" s="27">
        <f>E8/(E8+F8+G8)</f>
        <v>0.97449396387401288</v>
      </c>
      <c r="K18" s="27">
        <f>F8/(E8+F8+G8)</f>
        <v>2.723064355087592E-3</v>
      </c>
      <c r="L18" s="27">
        <f>G8/(E8+F8+G8)</f>
        <v>2.278297177089952E-2</v>
      </c>
      <c r="M18" s="27">
        <v>0</v>
      </c>
      <c r="N18" s="27">
        <v>0</v>
      </c>
      <c r="O18" s="27">
        <v>0</v>
      </c>
      <c r="P18" s="27">
        <v>0</v>
      </c>
      <c r="Q18" s="13"/>
      <c r="R18" s="13"/>
    </row>
    <row r="19" spans="1:18" s="3" customFormat="1" ht="20" customHeight="1" x14ac:dyDescent="0.2">
      <c r="A19" s="11">
        <f t="shared" ca="1" si="2"/>
        <v>5623715</v>
      </c>
      <c r="B19" s="11">
        <f ca="1">(E8+F8+G8+H8)*I9-F8*F9-G8*G9-H8*H9+B15</f>
        <v>5949396.0491249999</v>
      </c>
      <c r="C19" s="11">
        <f t="shared" ca="1" si="0"/>
        <v>325681.0491249999</v>
      </c>
      <c r="D19" s="11">
        <f t="shared" ca="1" si="1"/>
        <v>2874337.8245937573</v>
      </c>
      <c r="E19" s="11">
        <f t="shared" ca="1" si="3"/>
        <v>95835.056236706674</v>
      </c>
      <c r="F19" s="12"/>
      <c r="G19" s="27">
        <v>0</v>
      </c>
      <c r="H19" s="27">
        <v>0</v>
      </c>
      <c r="I19" s="27">
        <v>0</v>
      </c>
      <c r="J19" s="27">
        <f>E8/(E8+F8+G8+H8)</f>
        <v>0.88267697114198795</v>
      </c>
      <c r="K19" s="27">
        <f>F8/(E8+F8+G8+H8)</f>
        <v>2.4664967524459427E-3</v>
      </c>
      <c r="L19" s="27">
        <f>G8/(E8+F8+G8+H8)</f>
        <v>2.0636356162131053E-2</v>
      </c>
      <c r="M19" s="27">
        <f>H8/(E8+F8+G8+H8)</f>
        <v>9.4220175943435014E-2</v>
      </c>
      <c r="N19" s="27">
        <v>0</v>
      </c>
      <c r="O19" s="27">
        <v>0</v>
      </c>
      <c r="P19" s="27">
        <v>0</v>
      </c>
      <c r="Q19" s="13"/>
      <c r="R19" s="13"/>
    </row>
    <row r="20" spans="1:18" s="3" customFormat="1" ht="20" customHeight="1" x14ac:dyDescent="0.2">
      <c r="A20" s="11">
        <f t="shared" ca="1" si="2"/>
        <v>5949396.0491249999</v>
      </c>
      <c r="B20" s="11">
        <f ca="1">(E8+F8+G8+H8+I8)*J9-F8*F9-G8*G9-H8*H9-I8*I9+B15</f>
        <v>6030459.75</v>
      </c>
      <c r="C20" s="11">
        <f t="shared" ca="1" si="0"/>
        <v>81063.700875000097</v>
      </c>
      <c r="D20" s="11">
        <f t="shared" ca="1" si="1"/>
        <v>2851274.1082747225</v>
      </c>
      <c r="E20" s="11">
        <f t="shared" ca="1" si="3"/>
        <v>23063.716319034807</v>
      </c>
      <c r="F20" s="12"/>
      <c r="G20" s="27">
        <v>0</v>
      </c>
      <c r="H20" s="27">
        <v>0</v>
      </c>
      <c r="I20" s="27">
        <v>0</v>
      </c>
      <c r="J20" s="27">
        <f>E8/(E8+F8+G8+H8+I8)</f>
        <v>0.75803149050342444</v>
      </c>
      <c r="K20" s="27">
        <f>F8/(E8+F8+G8+H8+I8)</f>
        <v>2.1181952976064393E-3</v>
      </c>
      <c r="L20" s="27">
        <f>G8/(E8+F8+G8+H8+I8)</f>
        <v>1.7722233989973874E-2</v>
      </c>
      <c r="M20" s="27">
        <f>H8/(E8+F8+G8+H8+I8)</f>
        <v>8.091506036856598E-2</v>
      </c>
      <c r="N20" s="27">
        <f>I8/(E8+F8+G8+H8+I8)</f>
        <v>0.14121301984042928</v>
      </c>
      <c r="O20" s="27">
        <v>0</v>
      </c>
      <c r="P20" s="27">
        <v>0</v>
      </c>
      <c r="Q20" s="13"/>
      <c r="R20" s="13"/>
    </row>
    <row r="21" spans="1:18" s="3" customFormat="1" ht="20" customHeight="1" x14ac:dyDescent="0.2">
      <c r="A21" s="11">
        <f t="shared" ca="1" si="2"/>
        <v>6030459.75</v>
      </c>
      <c r="B21" s="11">
        <f ca="1">(E8+F8+G8+H8+I8+J8+B8)*C9-B8*B9-F8*F9-G8*G9-H8*H9-I8*I9-J8*J9+B15</f>
        <v>7567029.75</v>
      </c>
      <c r="C21" s="11">
        <f t="shared" ca="1" si="0"/>
        <v>1536570</v>
      </c>
      <c r="D21" s="11">
        <f t="shared" ca="1" si="1"/>
        <v>2465444.9540157383</v>
      </c>
      <c r="E21" s="11">
        <f t="shared" ca="1" si="3"/>
        <v>385829.15425898414</v>
      </c>
      <c r="F21" s="12"/>
      <c r="G21" s="27">
        <f>B8/(B8+E8+F8+G8+H8+I8+J8)</f>
        <v>0.13705851344227729</v>
      </c>
      <c r="H21" s="27">
        <v>0</v>
      </c>
      <c r="I21" s="27">
        <v>0</v>
      </c>
      <c r="J21" s="27">
        <f>E8/(B8+E8+F8+G8+H8+I8+J8)</f>
        <v>0.62882914543431145</v>
      </c>
      <c r="K21" s="27">
        <f>F8/(B8+E8+F8+G8+H8+I8+J8)</f>
        <v>1.7571604287471446E-3</v>
      </c>
      <c r="L21" s="27">
        <f>G8/(B8+E8+F8+G8+H8+I8+J8)</f>
        <v>1.4701575587184443E-2</v>
      </c>
      <c r="M21" s="27">
        <f>H8/(B8+E8+F8+G8+H8+I8+J8)</f>
        <v>6.7123528378140923E-2</v>
      </c>
      <c r="N21" s="27">
        <f>I8/(B8+E8+F8+G8+H8+I8+J8)</f>
        <v>0.11714402858314298</v>
      </c>
      <c r="O21" s="27">
        <f>J8/(B8+E8+F8+G8+H8+I8+J8)</f>
        <v>3.3386048146195745E-2</v>
      </c>
      <c r="P21" s="27">
        <v>0</v>
      </c>
      <c r="Q21" s="13"/>
      <c r="R21" s="13"/>
    </row>
    <row r="22" spans="1:18" s="3" customFormat="1" ht="20" customHeight="1" x14ac:dyDescent="0.2">
      <c r="A22" s="11">
        <f t="shared" ca="1" si="2"/>
        <v>7567029.75</v>
      </c>
      <c r="B22" s="11">
        <f ca="1">(E8+F8+G8+H8+I8+J8+B8+C8)*K9-B8*B9-C8*C9-F8*F9-G8*G9-H8*H9-I8*I9-J8*J9+B15</f>
        <v>9611897.25</v>
      </c>
      <c r="C22" s="11">
        <f t="shared" ca="1" si="0"/>
        <v>2044867.5</v>
      </c>
      <c r="D22" s="11">
        <f t="shared" ca="1" si="1"/>
        <v>2068980.9806315063</v>
      </c>
      <c r="E22" s="11">
        <f t="shared" ca="1" si="3"/>
        <v>396463.97338423203</v>
      </c>
      <c r="F22" s="12"/>
      <c r="G22" s="27">
        <f>B8/(B8+C8+E8+F8+G8+H8+I8+J8)</f>
        <v>0.11157202117007581</v>
      </c>
      <c r="H22" s="27">
        <f>C8/(B8+C8+E8+F8+G8+H8+I8+J8)</f>
        <v>0.18595336861679301</v>
      </c>
      <c r="I22" s="27">
        <v>0</v>
      </c>
      <c r="J22" s="27">
        <f>E8/(B8+C8+E8+F8+G8+H8+I8+J8)</f>
        <v>0.51189624755638197</v>
      </c>
      <c r="K22" s="27">
        <f>F8/(B8+C8+E8+F8+G8+H8+I8+J8)</f>
        <v>1.4304105278214847E-3</v>
      </c>
      <c r="L22" s="27">
        <f>G8/(B8+C8+E8+F8+G8+H8+I8+J8)</f>
        <v>1.1967768082773089E-2</v>
      </c>
      <c r="M22" s="27">
        <f>H8/(B8+C8+E8+F8+G8+H8+I8+J8)</f>
        <v>5.4641682162780716E-2</v>
      </c>
      <c r="N22" s="27">
        <f>I8/(B8+C8+E8+F8+G8+H8+I8+J8)</f>
        <v>9.5360701854765653E-2</v>
      </c>
      <c r="O22" s="27">
        <f>J8/(B8+C8+E8+F8+G8+H8+I8+J8)</f>
        <v>2.7177800028608212E-2</v>
      </c>
      <c r="P22" s="27">
        <v>0</v>
      </c>
      <c r="Q22" s="13"/>
      <c r="R22" s="13"/>
    </row>
    <row r="23" spans="1:18" s="3" customFormat="1" ht="20" customHeight="1" x14ac:dyDescent="0.2">
      <c r="A23" s="11">
        <f t="shared" ca="1" si="2"/>
        <v>9611897.25</v>
      </c>
      <c r="B23" s="11">
        <f ca="1">SUM(E8:K8,B8:C8)*D9-B8*B9-C8*C9-F8*F9-G8*G9-H8*H9-I8*I9-J8*J9-K8*K9+B15</f>
        <v>16365576.17</v>
      </c>
      <c r="C23" s="11">
        <f t="shared" ca="1" si="0"/>
        <v>6753678.9199999999</v>
      </c>
      <c r="D23" s="11">
        <f t="shared" ca="1" si="1"/>
        <v>1281174.3832298268</v>
      </c>
      <c r="E23" s="11">
        <f t="shared" ca="1" si="3"/>
        <v>787806.59740167949</v>
      </c>
      <c r="F23" s="12"/>
      <c r="G23" s="27">
        <f>B8/SUM(B8:C8,E8:K8)</f>
        <v>0.10047856998212168</v>
      </c>
      <c r="H23" s="27">
        <f>C8/SUM(B8:C8,E8:K8)</f>
        <v>0.16746428330353613</v>
      </c>
      <c r="I23" s="27">
        <v>0</v>
      </c>
      <c r="J23" s="27">
        <f>E8/SUM(B8:C8,E8:K8)</f>
        <v>0.46099911424276002</v>
      </c>
      <c r="K23" s="27">
        <f>F8/SUM(B8:C8,E8:K8)</f>
        <v>1.2881867946425856E-3</v>
      </c>
      <c r="L23" s="27">
        <f>G8/SUM(B8:C8,E8:K8)</f>
        <v>1.07778295151763E-2</v>
      </c>
      <c r="M23" s="27">
        <f>H8/SUM(B8:C8,E8:K8)</f>
        <v>4.9208735555346772E-2</v>
      </c>
      <c r="N23" s="27">
        <f>I8/SUM(B8:C8,E8:K8)</f>
        <v>8.587911964283905E-2</v>
      </c>
      <c r="O23" s="27">
        <f>J8/SUM(B8:C8,E8:K8)</f>
        <v>2.4475549098209128E-2</v>
      </c>
      <c r="P23" s="27">
        <f>K8/SUM(B8:C8,E8:K8)</f>
        <v>9.9428611865368333E-2</v>
      </c>
      <c r="Q23" s="13"/>
      <c r="R23" s="13"/>
    </row>
    <row r="24" spans="1:18" s="3" customFormat="1" ht="20" customHeight="1" x14ac:dyDescent="0.2">
      <c r="A24" s="11">
        <f t="shared" ca="1" si="2"/>
        <v>16365576.17</v>
      </c>
      <c r="B24" s="11" t="s">
        <v>22</v>
      </c>
      <c r="C24" s="11" t="s">
        <v>22</v>
      </c>
      <c r="D24" s="11" t="s">
        <v>0</v>
      </c>
      <c r="E24" s="11">
        <f ca="1">A2-SUM(E15:E23)</f>
        <v>1281174.3832298266</v>
      </c>
      <c r="F24" s="12"/>
      <c r="G24" s="27">
        <f>B8/SUM($B$8:$K$8)</f>
        <v>8.6767741444589458E-2</v>
      </c>
      <c r="H24" s="27">
        <f>C8/SUM($B$8:$K$8)</f>
        <v>0.1446129024076491</v>
      </c>
      <c r="I24" s="27">
        <f>D8/SUM($B$8:$K$8)</f>
        <v>0.13645525150260221</v>
      </c>
      <c r="J24" s="27">
        <f>E8/SUM($B$8:$K$8)</f>
        <v>0.39809336416628732</v>
      </c>
      <c r="K24" s="27">
        <f>F8/SUM($B$8:$K$8)</f>
        <v>1.1124069415973006E-3</v>
      </c>
      <c r="L24" s="27">
        <f>G8/SUM($B$8:$K$8)</f>
        <v>9.3071380780307498E-3</v>
      </c>
      <c r="M24" s="27">
        <f>H8/SUM($B$8:$K$8)</f>
        <v>4.2493945169016889E-2</v>
      </c>
      <c r="N24" s="27">
        <f>I8/SUM($B$8:$K$8)</f>
        <v>7.4160462773153385E-2</v>
      </c>
      <c r="O24" s="27">
        <f>J8/SUM($B$8:$K$8)</f>
        <v>2.1135731890348713E-2</v>
      </c>
      <c r="P24" s="27">
        <f>K8/SUM($B$8:$K$8)</f>
        <v>8.5861055626724886E-2</v>
      </c>
      <c r="Q24" s="13"/>
      <c r="R24" s="13"/>
    </row>
    <row r="25" spans="1:18" s="3" customFormat="1" ht="20" customHeight="1" x14ac:dyDescent="0.2">
      <c r="A25" s="12"/>
      <c r="B25" s="12"/>
      <c r="C25" s="12"/>
      <c r="D25" s="12"/>
      <c r="E25" s="12"/>
      <c r="F25" s="1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3" customFormat="1" ht="20" customHeight="1" x14ac:dyDescent="0.2">
      <c r="A26" s="12"/>
      <c r="B26" s="12"/>
      <c r="C26" s="12"/>
      <c r="D26" s="12"/>
      <c r="E26" s="12"/>
      <c r="F26" s="12" t="s">
        <v>23</v>
      </c>
    </row>
    <row r="27" spans="1:18" s="3" customFormat="1" ht="20" customHeight="1" x14ac:dyDescent="0.2">
      <c r="A27" s="11">
        <f>A15</f>
        <v>0</v>
      </c>
      <c r="B27" s="11">
        <f t="shared" ref="B27:E27" ca="1" si="4">B15</f>
        <v>4545000</v>
      </c>
      <c r="C27" s="11">
        <f t="shared" ca="1" si="4"/>
        <v>4545000</v>
      </c>
      <c r="D27" s="11">
        <f t="shared" ca="1" si="4"/>
        <v>3328785.4564485801</v>
      </c>
      <c r="E27" s="11">
        <f t="shared" ca="1" si="4"/>
        <v>2794926.8133156057</v>
      </c>
      <c r="F27" s="12" t="s">
        <v>14</v>
      </c>
      <c r="G27" s="19">
        <f ca="1">G15*$E15</f>
        <v>190663.81924499531</v>
      </c>
      <c r="H27" s="19">
        <f t="shared" ref="H27:P27" ca="1" si="5">H15*$E15</f>
        <v>533618.86518253398</v>
      </c>
      <c r="I27" s="19">
        <f t="shared" ca="1" si="5"/>
        <v>2070644.1288880764</v>
      </c>
      <c r="J27" s="19">
        <f t="shared" ca="1" si="5"/>
        <v>0</v>
      </c>
      <c r="K27" s="19">
        <f t="shared" ca="1" si="5"/>
        <v>0</v>
      </c>
      <c r="L27" s="19">
        <f t="shared" ca="1" si="5"/>
        <v>0</v>
      </c>
      <c r="M27" s="19">
        <f t="shared" ca="1" si="5"/>
        <v>0</v>
      </c>
      <c r="N27" s="19">
        <f ca="1">N15*$E15</f>
        <v>0</v>
      </c>
      <c r="O27" s="19">
        <f t="shared" ca="1" si="5"/>
        <v>0</v>
      </c>
      <c r="P27" s="19">
        <f t="shared" ca="1" si="5"/>
        <v>0</v>
      </c>
      <c r="Q27" s="11"/>
      <c r="R27" s="11"/>
    </row>
    <row r="28" spans="1:18" s="3" customFormat="1" ht="20" customHeight="1" x14ac:dyDescent="0.2">
      <c r="A28" s="11">
        <f t="shared" ref="A28:E28" ca="1" si="6">A16</f>
        <v>4545000</v>
      </c>
      <c r="B28" s="11">
        <f t="shared" ca="1" si="6"/>
        <v>5135480</v>
      </c>
      <c r="C28" s="11">
        <f t="shared" ca="1" si="6"/>
        <v>590480</v>
      </c>
      <c r="D28" s="11">
        <f t="shared" ca="1" si="6"/>
        <v>3124096.412910914</v>
      </c>
      <c r="E28" s="11">
        <f t="shared" ca="1" si="6"/>
        <v>204689.04353766609</v>
      </c>
      <c r="F28" s="12" t="s">
        <v>24</v>
      </c>
      <c r="G28" s="19">
        <f t="shared" ref="G28:P28" ca="1" si="7">G16*$E16</f>
        <v>0</v>
      </c>
      <c r="H28" s="19">
        <f t="shared" ca="1" si="7"/>
        <v>0</v>
      </c>
      <c r="I28" s="19">
        <f t="shared" ca="1" si="7"/>
        <v>0</v>
      </c>
      <c r="J28" s="19">
        <f t="shared" ca="1" si="7"/>
        <v>204689.04353766609</v>
      </c>
      <c r="K28" s="19">
        <f t="shared" ca="1" si="7"/>
        <v>0</v>
      </c>
      <c r="L28" s="19">
        <f t="shared" ca="1" si="7"/>
        <v>0</v>
      </c>
      <c r="M28" s="19">
        <f t="shared" ca="1" si="7"/>
        <v>0</v>
      </c>
      <c r="N28" s="19">
        <f t="shared" ca="1" si="7"/>
        <v>0</v>
      </c>
      <c r="O28" s="19">
        <f t="shared" ca="1" si="7"/>
        <v>0</v>
      </c>
      <c r="P28" s="19">
        <f t="shared" ca="1" si="7"/>
        <v>0</v>
      </c>
      <c r="Q28" s="11"/>
      <c r="R28" s="11"/>
    </row>
    <row r="29" spans="1:18" s="3" customFormat="1" ht="20" customHeight="1" x14ac:dyDescent="0.2">
      <c r="A29" s="11">
        <f t="shared" ref="A29:E29" ca="1" si="8">A17</f>
        <v>5135480</v>
      </c>
      <c r="B29" s="11">
        <f t="shared" ca="1" si="8"/>
        <v>5458460</v>
      </c>
      <c r="C29" s="11">
        <f t="shared" ca="1" si="8"/>
        <v>322980</v>
      </c>
      <c r="D29" s="11">
        <f t="shared" ca="1" si="8"/>
        <v>3020838.0256339954</v>
      </c>
      <c r="E29" s="11">
        <f t="shared" ca="1" si="8"/>
        <v>103258.38727691863</v>
      </c>
      <c r="F29" s="12" t="s">
        <v>25</v>
      </c>
      <c r="G29" s="19">
        <f t="shared" ref="G29:P29" ca="1" si="9">G17*$E17</f>
        <v>0</v>
      </c>
      <c r="H29" s="19">
        <f t="shared" ca="1" si="9"/>
        <v>0</v>
      </c>
      <c r="I29" s="19">
        <f t="shared" ca="1" si="9"/>
        <v>0</v>
      </c>
      <c r="J29" s="19">
        <f t="shared" ca="1" si="9"/>
        <v>102970.65259195601</v>
      </c>
      <c r="K29" s="19">
        <f t="shared" ca="1" si="9"/>
        <v>287.73468496261921</v>
      </c>
      <c r="L29" s="19">
        <f t="shared" ca="1" si="9"/>
        <v>0</v>
      </c>
      <c r="M29" s="19">
        <f t="shared" ca="1" si="9"/>
        <v>0</v>
      </c>
      <c r="N29" s="19">
        <f t="shared" ca="1" si="9"/>
        <v>0</v>
      </c>
      <c r="O29" s="19">
        <f t="shared" ca="1" si="9"/>
        <v>0</v>
      </c>
      <c r="P29" s="19">
        <f t="shared" ca="1" si="9"/>
        <v>0</v>
      </c>
      <c r="Q29" s="11"/>
      <c r="R29" s="11"/>
    </row>
    <row r="30" spans="1:18" s="3" customFormat="1" ht="20" customHeight="1" x14ac:dyDescent="0.2">
      <c r="A30" s="11">
        <f t="shared" ref="A30:E30" ca="1" si="10">A18</f>
        <v>5458460</v>
      </c>
      <c r="B30" s="11">
        <f t="shared" ca="1" si="10"/>
        <v>5623715</v>
      </c>
      <c r="C30" s="11">
        <f t="shared" ca="1" si="10"/>
        <v>165255</v>
      </c>
      <c r="D30" s="11">
        <f t="shared" ca="1" si="10"/>
        <v>2970172.880830464</v>
      </c>
      <c r="E30" s="11">
        <f t="shared" ca="1" si="10"/>
        <v>50665.144803531468</v>
      </c>
      <c r="F30" s="12" t="s">
        <v>26</v>
      </c>
      <c r="G30" s="19">
        <f t="shared" ref="G30:P30" ca="1" si="11">G18*$E18</f>
        <v>0</v>
      </c>
      <c r="H30" s="19">
        <f t="shared" ca="1" si="11"/>
        <v>0</v>
      </c>
      <c r="I30" s="19">
        <f t="shared" ca="1" si="11"/>
        <v>0</v>
      </c>
      <c r="J30" s="19">
        <f t="shared" ca="1" si="11"/>
        <v>49372.877789844228</v>
      </c>
      <c r="K30" s="19">
        <f t="shared" ca="1" si="11"/>
        <v>137.96444985984789</v>
      </c>
      <c r="L30" s="19">
        <f t="shared" ca="1" si="11"/>
        <v>1154.3025638273939</v>
      </c>
      <c r="M30" s="19">
        <f t="shared" ca="1" si="11"/>
        <v>0</v>
      </c>
      <c r="N30" s="19">
        <f t="shared" ca="1" si="11"/>
        <v>0</v>
      </c>
      <c r="O30" s="19">
        <f t="shared" ca="1" si="11"/>
        <v>0</v>
      </c>
      <c r="P30" s="19">
        <f t="shared" ca="1" si="11"/>
        <v>0</v>
      </c>
      <c r="Q30" s="11"/>
      <c r="R30" s="11"/>
    </row>
    <row r="31" spans="1:18" s="3" customFormat="1" ht="20" customHeight="1" x14ac:dyDescent="0.2">
      <c r="A31" s="11">
        <f t="shared" ref="A31:E31" ca="1" si="12">A19</f>
        <v>5623715</v>
      </c>
      <c r="B31" s="11">
        <f t="shared" ca="1" si="12"/>
        <v>5949396.0491249999</v>
      </c>
      <c r="C31" s="11">
        <f t="shared" ca="1" si="12"/>
        <v>325681.0491249999</v>
      </c>
      <c r="D31" s="11">
        <f t="shared" ca="1" si="12"/>
        <v>2874337.8245937573</v>
      </c>
      <c r="E31" s="11">
        <f t="shared" ca="1" si="12"/>
        <v>95835.056236706674</v>
      </c>
      <c r="F31" s="12" t="s">
        <v>27</v>
      </c>
      <c r="G31" s="19">
        <f t="shared" ref="G31:P31" ca="1" si="13">G19*$E19</f>
        <v>0</v>
      </c>
      <c r="H31" s="19">
        <f t="shared" ca="1" si="13"/>
        <v>0</v>
      </c>
      <c r="I31" s="19">
        <f t="shared" ca="1" si="13"/>
        <v>0</v>
      </c>
      <c r="J31" s="19">
        <f t="shared" ca="1" si="13"/>
        <v>84591.397168238327</v>
      </c>
      <c r="K31" s="19">
        <f t="shared" ca="1" si="13"/>
        <v>236.37685497831129</v>
      </c>
      <c r="L31" s="19">
        <f t="shared" ca="1" si="13"/>
        <v>1977.6863533185378</v>
      </c>
      <c r="M31" s="19">
        <f t="shared" ca="1" si="13"/>
        <v>9029.5958601714919</v>
      </c>
      <c r="N31" s="19">
        <f t="shared" ca="1" si="13"/>
        <v>0</v>
      </c>
      <c r="O31" s="19">
        <f t="shared" ca="1" si="13"/>
        <v>0</v>
      </c>
      <c r="P31" s="19">
        <f t="shared" ca="1" si="13"/>
        <v>0</v>
      </c>
      <c r="Q31" s="11"/>
      <c r="R31" s="11"/>
    </row>
    <row r="32" spans="1:18" s="3" customFormat="1" ht="20" customHeight="1" x14ac:dyDescent="0.2">
      <c r="A32" s="11">
        <f t="shared" ref="A32:E32" ca="1" si="14">A20</f>
        <v>5949396.0491249999</v>
      </c>
      <c r="B32" s="11">
        <f t="shared" ca="1" si="14"/>
        <v>6030459.75</v>
      </c>
      <c r="C32" s="11">
        <f t="shared" ca="1" si="14"/>
        <v>81063.700875000097</v>
      </c>
      <c r="D32" s="11">
        <f t="shared" ca="1" si="14"/>
        <v>2851274.1082747225</v>
      </c>
      <c r="E32" s="11">
        <f t="shared" ca="1" si="14"/>
        <v>23063.716319034807</v>
      </c>
      <c r="F32" s="12" t="s">
        <v>28</v>
      </c>
      <c r="G32" s="19">
        <f t="shared" ref="G32:P32" ca="1" si="15">G20*$E20</f>
        <v>0</v>
      </c>
      <c r="H32" s="19">
        <f t="shared" ca="1" si="15"/>
        <v>0</v>
      </c>
      <c r="I32" s="19">
        <f t="shared" ca="1" si="15"/>
        <v>0</v>
      </c>
      <c r="J32" s="19">
        <f t="shared" ca="1" si="15"/>
        <v>17483.023257866109</v>
      </c>
      <c r="K32" s="19">
        <f t="shared" ca="1" si="15"/>
        <v>48.853455452308424</v>
      </c>
      <c r="L32" s="19">
        <f t="shared" ca="1" si="15"/>
        <v>408.74057728431382</v>
      </c>
      <c r="M32" s="19">
        <f t="shared" ca="1" si="15"/>
        <v>1866.2019982781817</v>
      </c>
      <c r="N32" s="19">
        <f t="shared" ca="1" si="15"/>
        <v>3256.8970301538948</v>
      </c>
      <c r="O32" s="19">
        <f t="shared" ca="1" si="15"/>
        <v>0</v>
      </c>
      <c r="P32" s="19">
        <f t="shared" ca="1" si="15"/>
        <v>0</v>
      </c>
      <c r="Q32" s="11"/>
      <c r="R32" s="11"/>
    </row>
    <row r="33" spans="1:18" s="3" customFormat="1" ht="32" x14ac:dyDescent="0.2">
      <c r="A33" s="11">
        <f t="shared" ref="A33:E33" ca="1" si="16">A21</f>
        <v>6030459.75</v>
      </c>
      <c r="B33" s="11">
        <f t="shared" ca="1" si="16"/>
        <v>7567029.75</v>
      </c>
      <c r="C33" s="11">
        <f t="shared" ca="1" si="16"/>
        <v>1536570</v>
      </c>
      <c r="D33" s="11">
        <f t="shared" ca="1" si="16"/>
        <v>2465444.9540157383</v>
      </c>
      <c r="E33" s="11">
        <f t="shared" ca="1" si="16"/>
        <v>385829.15425898414</v>
      </c>
      <c r="F33" s="12" t="s">
        <v>29</v>
      </c>
      <c r="G33" s="19">
        <f t="shared" ref="G33:P33" ca="1" si="17">G21*$E21</f>
        <v>52881.170325427454</v>
      </c>
      <c r="H33" s="19">
        <f t="shared" ca="1" si="17"/>
        <v>0</v>
      </c>
      <c r="I33" s="19">
        <f t="shared" ca="1" si="17"/>
        <v>0</v>
      </c>
      <c r="J33" s="19">
        <f t="shared" ca="1" si="17"/>
        <v>242620.61735632012</v>
      </c>
      <c r="K33" s="19">
        <f t="shared" ca="1" si="17"/>
        <v>677.96372212086476</v>
      </c>
      <c r="L33" s="19">
        <f t="shared" ca="1" si="17"/>
        <v>5672.296475077902</v>
      </c>
      <c r="M33" s="19">
        <f t="shared" ca="1" si="17"/>
        <v>25898.214185017034</v>
      </c>
      <c r="N33" s="19">
        <f t="shared" ca="1" si="17"/>
        <v>45197.58147472432</v>
      </c>
      <c r="O33" s="19">
        <f t="shared" ca="1" si="17"/>
        <v>12881.310720296429</v>
      </c>
      <c r="P33" s="19">
        <f t="shared" ca="1" si="17"/>
        <v>0</v>
      </c>
      <c r="Q33" s="11"/>
      <c r="R33" s="11"/>
    </row>
    <row r="34" spans="1:18" s="3" customFormat="1" ht="20" customHeight="1" x14ac:dyDescent="0.2">
      <c r="A34" s="11">
        <f t="shared" ref="A34:E34" ca="1" si="18">A22</f>
        <v>7567029.75</v>
      </c>
      <c r="B34" s="11">
        <f t="shared" ca="1" si="18"/>
        <v>9611897.25</v>
      </c>
      <c r="C34" s="11">
        <f t="shared" ca="1" si="18"/>
        <v>2044867.5</v>
      </c>
      <c r="D34" s="11">
        <f t="shared" ca="1" si="18"/>
        <v>2068980.9806315063</v>
      </c>
      <c r="E34" s="11">
        <f t="shared" ca="1" si="18"/>
        <v>396463.97338423203</v>
      </c>
      <c r="F34" s="12" t="s">
        <v>30</v>
      </c>
      <c r="G34" s="19">
        <f t="shared" ref="G34:P34" ca="1" si="19">G22*$E22</f>
        <v>44234.286831597907</v>
      </c>
      <c r="H34" s="19">
        <f t="shared" ca="1" si="19"/>
        <v>73723.811385996509</v>
      </c>
      <c r="I34" s="19">
        <f t="shared" ca="1" si="19"/>
        <v>0</v>
      </c>
      <c r="J34" s="19">
        <f t="shared" ca="1" si="19"/>
        <v>202948.42026668167</v>
      </c>
      <c r="K34" s="19">
        <f t="shared" ca="1" si="19"/>
        <v>567.10624143074233</v>
      </c>
      <c r="L34" s="19">
        <f t="shared" ca="1" si="19"/>
        <v>4744.7888866372114</v>
      </c>
      <c r="M34" s="19">
        <f t="shared" ca="1" si="19"/>
        <v>21663.458422654359</v>
      </c>
      <c r="N34" s="19">
        <f t="shared" ca="1" si="19"/>
        <v>37807.082762049497</v>
      </c>
      <c r="O34" s="19">
        <f t="shared" ca="1" si="19"/>
        <v>10775.018587184106</v>
      </c>
      <c r="P34" s="19">
        <f t="shared" ca="1" si="19"/>
        <v>0</v>
      </c>
      <c r="Q34" s="11"/>
      <c r="R34" s="11"/>
    </row>
    <row r="35" spans="1:18" s="3" customFormat="1" ht="20" customHeight="1" x14ac:dyDescent="0.2">
      <c r="A35" s="11">
        <f t="shared" ref="A35:E35" ca="1" si="20">A23</f>
        <v>9611897.25</v>
      </c>
      <c r="B35" s="11">
        <f t="shared" ca="1" si="20"/>
        <v>16365576.17</v>
      </c>
      <c r="C35" s="11">
        <f t="shared" ca="1" si="20"/>
        <v>6753678.9199999999</v>
      </c>
      <c r="D35" s="11">
        <f t="shared" ca="1" si="20"/>
        <v>1281174.3832298268</v>
      </c>
      <c r="E35" s="11">
        <f t="shared" ca="1" si="20"/>
        <v>787806.59740167949</v>
      </c>
      <c r="F35" s="12" t="s">
        <v>31</v>
      </c>
      <c r="G35" s="19">
        <f t="shared" ref="G35:P35" ca="1" si="21">G23*$E23</f>
        <v>79157.680329401817</v>
      </c>
      <c r="H35" s="19">
        <f t="shared" ca="1" si="21"/>
        <v>131929.46721566969</v>
      </c>
      <c r="I35" s="19">
        <f t="shared" ca="1" si="21"/>
        <v>0</v>
      </c>
      <c r="J35" s="19">
        <f t="shared" ca="1" si="21"/>
        <v>363178.14359677688</v>
      </c>
      <c r="K35" s="19">
        <f t="shared" ca="1" si="21"/>
        <v>1014.8420555051515</v>
      </c>
      <c r="L35" s="19">
        <f t="shared" ca="1" si="21"/>
        <v>8490.845197726434</v>
      </c>
      <c r="M35" s="19">
        <f t="shared" ca="1" si="21"/>
        <v>38766.966520296788</v>
      </c>
      <c r="N35" s="19">
        <f t="shared" ca="1" si="21"/>
        <v>67656.137033676772</v>
      </c>
      <c r="O35" s="19">
        <f t="shared" ca="1" si="21"/>
        <v>19281.999054597876</v>
      </c>
      <c r="P35" s="19">
        <f t="shared" ca="1" si="21"/>
        <v>78330.516398028078</v>
      </c>
      <c r="Q35" s="11"/>
      <c r="R35" s="11"/>
    </row>
    <row r="36" spans="1:18" s="3" customFormat="1" ht="20" customHeight="1" x14ac:dyDescent="0.2">
      <c r="A36" s="23">
        <f t="shared" ref="A36:E36" ca="1" si="22">A24</f>
        <v>16365576.17</v>
      </c>
      <c r="B36" s="23" t="str">
        <f t="shared" si="22"/>
        <v>Infinity</v>
      </c>
      <c r="C36" s="23" t="str">
        <f t="shared" si="22"/>
        <v>Infinity</v>
      </c>
      <c r="D36" s="23" t="str">
        <f t="shared" si="22"/>
        <v>-</v>
      </c>
      <c r="E36" s="23">
        <f t="shared" ca="1" si="22"/>
        <v>1281174.3832298266</v>
      </c>
      <c r="F36" s="24" t="s">
        <v>32</v>
      </c>
      <c r="G36" s="25">
        <f t="shared" ref="G36:P36" ca="1" si="23">G24*$E24</f>
        <v>111164.60762951696</v>
      </c>
      <c r="H36" s="25">
        <f t="shared" ca="1" si="23"/>
        <v>185274.34604919492</v>
      </c>
      <c r="I36" s="25">
        <f t="shared" ca="1" si="23"/>
        <v>174822.97268231725</v>
      </c>
      <c r="J36" s="25">
        <f t="shared" ca="1" si="23"/>
        <v>510027.02030362992</v>
      </c>
      <c r="K36" s="25">
        <f t="shared" ca="1" si="23"/>
        <v>1425.1872773014993</v>
      </c>
      <c r="L36" s="25">
        <f t="shared" ca="1" si="23"/>
        <v>11924.06688675588</v>
      </c>
      <c r="M36" s="25">
        <f t="shared" ca="1" si="23"/>
        <v>54442.15399291728</v>
      </c>
      <c r="N36" s="25">
        <f t="shared" ca="1" si="23"/>
        <v>95012.485153433299</v>
      </c>
      <c r="O36" s="25">
        <f t="shared" ca="1" si="23"/>
        <v>27078.558268728488</v>
      </c>
      <c r="P36" s="25">
        <f t="shared" ca="1" si="23"/>
        <v>110002.98498603109</v>
      </c>
      <c r="Q36" s="11"/>
      <c r="R36" s="11"/>
    </row>
    <row r="37" spans="1:18" s="3" customFormat="1" ht="20" customHeight="1" x14ac:dyDescent="0.2">
      <c r="A37" s="12"/>
      <c r="B37" s="12"/>
      <c r="C37" s="12"/>
      <c r="D37" s="12"/>
      <c r="E37" s="12"/>
      <c r="F37" s="14" t="s">
        <v>33</v>
      </c>
      <c r="G37" s="19">
        <f ca="1">SUM(G27:G36)</f>
        <v>478101.56436093943</v>
      </c>
      <c r="H37" s="19">
        <f t="shared" ref="H37:P37" ca="1" si="24">SUM(H27:H36)</f>
        <v>924546.48983339511</v>
      </c>
      <c r="I37" s="19">
        <f t="shared" ca="1" si="24"/>
        <v>2245467.1015703939</v>
      </c>
      <c r="J37" s="19">
        <f t="shared" ca="1" si="24"/>
        <v>1777881.1958689792</v>
      </c>
      <c r="K37" s="19">
        <f t="shared" ca="1" si="24"/>
        <v>4396.0287416113442</v>
      </c>
      <c r="L37" s="19">
        <f t="shared" ca="1" si="24"/>
        <v>34372.726940627676</v>
      </c>
      <c r="M37" s="19">
        <f t="shared" ca="1" si="24"/>
        <v>151666.59097933513</v>
      </c>
      <c r="N37" s="19">
        <f t="shared" ca="1" si="24"/>
        <v>248930.18345403776</v>
      </c>
      <c r="O37" s="19">
        <f t="shared" ca="1" si="24"/>
        <v>70016.886630806897</v>
      </c>
      <c r="P37" s="19">
        <f t="shared" ca="1" si="24"/>
        <v>188333.50138405917</v>
      </c>
      <c r="Q37" s="11"/>
      <c r="R37" s="11"/>
    </row>
    <row r="38" spans="1:18" s="3" customFormat="1" ht="20" customHeight="1" x14ac:dyDescent="0.2">
      <c r="A38" s="12"/>
      <c r="B38" s="12"/>
      <c r="C38" s="12"/>
      <c r="D38" s="12"/>
      <c r="E38" s="12"/>
      <c r="F38" s="14" t="s">
        <v>34</v>
      </c>
      <c r="G38" s="19">
        <f ca="1">G37/B8</f>
        <v>0.40863381569311064</v>
      </c>
      <c r="H38" s="19">
        <f ca="1">H37/C8</f>
        <v>0.47412640504276671</v>
      </c>
      <c r="I38" s="19">
        <f ca="1">I37/D8</f>
        <v>1.2203625552013011</v>
      </c>
      <c r="J38" s="26">
        <f ca="1">J37/E8</f>
        <v>0.33119992471478749</v>
      </c>
      <c r="K38" s="19">
        <f ca="1">K37/F8</f>
        <v>0.29306858277408959</v>
      </c>
      <c r="L38" s="19">
        <f ca="1">L37/G8</f>
        <v>0.27388627044324843</v>
      </c>
      <c r="M38" s="19">
        <f ca="1">M37/H8</f>
        <v>0.26468864045259183</v>
      </c>
      <c r="N38" s="19">
        <f ca="1">N37/I8</f>
        <v>0.24893018345403775</v>
      </c>
      <c r="O38" s="19">
        <f ca="1">O37/J8</f>
        <v>0.24567328642388386</v>
      </c>
      <c r="P38" s="19">
        <f ca="1">P37/K8</f>
        <v>0.16266862218711006</v>
      </c>
      <c r="Q38" s="11"/>
      <c r="R38" s="11"/>
    </row>
    <row r="39" spans="1:18" s="3" customFormat="1" x14ac:dyDescent="0.2"/>
    <row r="40" spans="1:18" s="3" customFormat="1" x14ac:dyDescent="0.2"/>
    <row r="41" spans="1:18" s="3" customFormat="1" x14ac:dyDescent="0.2"/>
    <row r="42" spans="1:18" s="3" customFormat="1" x14ac:dyDescent="0.2"/>
    <row r="43" spans="1:18" s="3" customFormat="1" x14ac:dyDescent="0.2"/>
    <row r="44" spans="1:18" s="3" customFormat="1" x14ac:dyDescent="0.2"/>
    <row r="45" spans="1:18" s="3" customFormat="1" x14ac:dyDescent="0.2"/>
  </sheetData>
  <conditionalFormatting sqref="G15:R36">
    <cfRule type="cellIs" dxfId="0" priority="1" stopIfTrue="1" operator="greaterThan">
      <formula>0</formula>
    </cfRule>
  </conditionalFormatting>
  <pageMargins left="0.75" right="0.75" top="1" bottom="1" header="0.5" footer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pane ySplit="4" topLeftCell="A5" activePane="bottomLeft" state="frozen"/>
      <selection pane="bottomLeft" activeCell="B20" sqref="B20"/>
    </sheetView>
  </sheetViews>
  <sheetFormatPr baseColWidth="10" defaultRowHeight="15" x14ac:dyDescent="0.2"/>
  <cols>
    <col min="1" max="1" width="46.5" style="3" bestFit="1" customWidth="1"/>
    <col min="2" max="2" width="16.1640625" style="3" customWidth="1"/>
    <col min="3" max="4" width="30" style="3" customWidth="1"/>
    <col min="5" max="16384" width="10.83203125" style="3"/>
  </cols>
  <sheetData>
    <row r="1" spans="1:4" s="3" customFormat="1" ht="20" customHeight="1" x14ac:dyDescent="0.25">
      <c r="A1" s="1" t="s">
        <v>39</v>
      </c>
      <c r="B1" s="2"/>
      <c r="C1" s="2"/>
      <c r="D1" s="2"/>
    </row>
    <row r="2" spans="1:4" s="3" customFormat="1" ht="20" customHeight="1" x14ac:dyDescent="0.2">
      <c r="A2" s="17">
        <v>1.2800000000000001E-2</v>
      </c>
      <c r="B2" s="28" t="s">
        <v>40</v>
      </c>
      <c r="C2" s="2"/>
      <c r="D2" s="2"/>
    </row>
    <row r="3" spans="1:4" s="3" customFormat="1" ht="16" x14ac:dyDescent="0.2">
      <c r="A3" s="2"/>
      <c r="B3" s="2"/>
      <c r="C3" s="2"/>
      <c r="D3" s="2"/>
    </row>
    <row r="4" spans="1:4" s="3" customFormat="1" ht="17" thickBot="1" x14ac:dyDescent="0.25">
      <c r="A4" s="5" t="s">
        <v>41</v>
      </c>
      <c r="B4" s="5" t="s">
        <v>0</v>
      </c>
      <c r="C4" s="5" t="s">
        <v>42</v>
      </c>
      <c r="D4" s="5" t="s">
        <v>43</v>
      </c>
    </row>
    <row r="5" spans="1:4" s="3" customFormat="1" x14ac:dyDescent="0.2">
      <c r="A5" s="3" t="s">
        <v>44</v>
      </c>
      <c r="B5" s="3" t="str">
        <f>TEXT(0.526,"00.00%")</f>
        <v>52.60%</v>
      </c>
      <c r="D5" s="3" t="str">
        <f>TEXT(0.526,"00.00%")</f>
        <v>52.60%</v>
      </c>
    </row>
    <row r="7" spans="1:4" s="3" customFormat="1" x14ac:dyDescent="0.2">
      <c r="A7" s="3">
        <v>1</v>
      </c>
      <c r="B7" s="3" t="str">
        <f ca="1">TEXT((EXP(-$A$2*1)*NORMSDIST(-1*((1*($A$2+(INDIRECT(ADDRESS(ROW()-2,COLUMN()))^2)/2))/(INDIRECT(ADDRESS(ROW()-2,COLUMN()))*(1^0.5))-(INDIRECT(ADDRESS(ROW()-2,COLUMN()))*(1^0.5))))-NORMSDIST(-1*((1*($A$2+(INDIRECT(ADDRESS(ROW()-2,COLUMN()))^2)/2))/(INDIRECT(ADDRESS(ROW()-2,COLUMN()))*(1^0.5))))),"00.00%")</f>
        <v>19.98%</v>
      </c>
      <c r="D7" s="3" t="str">
        <f ca="1">TEXT((NORMSDIST((((INDIRECT(ADDRESS(ROW()-2,COLUMN()))^2*1)+LN(2*(EXP(INDIRECT(ADDRESS(ROW()-2,COLUMN()))^2*1)-(INDIRECT(ADDRESS(ROW()-2,COLUMN()))^2*1)-1))-2*LN(EXP(INDIRECT(ADDRESS(ROW()-2,COLUMN()))^2*1)-1))^0.5)/2)-NORMSDIST(-(((INDIRECT(ADDRESS(ROW()-2,COLUMN()))^2*1)+LN(2*(EXP(INDIRECT(ADDRESS(ROW()-2,COLUMN()))^2*1)-(INDIRECT(ADDRESS(ROW()-2,COLUMN()))^2*1)-1))-2*LN(EXP(INDIRECT(ADDRESS(ROW()-2,COLUMN()))^2*1)-1))^0.5)/2)),"00.00%")</f>
        <v>11.79%</v>
      </c>
    </row>
    <row r="8" spans="1:4" s="3" customFormat="1" x14ac:dyDescent="0.2">
      <c r="A8" s="3">
        <v>2</v>
      </c>
      <c r="B8" s="3" t="str">
        <f ca="1">TEXT((EXP(-$A$2*2)*NORMSDIST(-1*((2*($A$2+(INDIRECT(ADDRESS(ROW()-3,COLUMN()))^2)/2))/(INDIRECT(ADDRESS(ROW()-3,COLUMN()))*(2^0.5))-(INDIRECT(ADDRESS(ROW()-3,COLUMN()))*(2^0.5))))-NORMSDIST(-1*((2*($A$2+(INDIRECT(ADDRESS(ROW()-3,COLUMN()))^2)/2))/(INDIRECT(ADDRESS(ROW()-3,COLUMN()))*(2^0.5))))),"00.00%")</f>
        <v>27.39%</v>
      </c>
      <c r="D8" s="3" t="str">
        <f ca="1">TEXT((NORMSDIST((((INDIRECT(ADDRESS(ROW()-3,COLUMN()))^2*2)+LN(2*(EXP(INDIRECT(ADDRESS(ROW()-3,COLUMN()))^2*2)-(INDIRECT(ADDRESS(ROW()-3,COLUMN()))^2*2)-1))-2*LN(EXP(INDIRECT(ADDRESS(ROW()-3,COLUMN()))^2*2)-1))^0.5)/2)-NORMSDIST(-(((INDIRECT(ADDRESS(ROW()-3,COLUMN()))^2*2)+LN(2*(EXP(INDIRECT(ADDRESS(ROW()-3,COLUMN()))^2*2)-(INDIRECT(ADDRESS(ROW()-3,COLUMN()))^2*2)-1))-2*LN(EXP(INDIRECT(ADDRESS(ROW()-3,COLUMN()))^2*2)-1))^0.5)/2)),"00.00%")</f>
        <v>16.22%</v>
      </c>
    </row>
    <row r="9" spans="1:4" s="3" customFormat="1" x14ac:dyDescent="0.2">
      <c r="A9" s="3">
        <v>3</v>
      </c>
      <c r="B9" s="3" t="str">
        <f ca="1">TEXT((EXP(-$A$2*3)*NORMSDIST(-1*((3*($A$2+(INDIRECT(ADDRESS(ROW()-4,COLUMN()))^2)/2))/(INDIRECT(ADDRESS(ROW()-4,COLUMN()))*(3^0.5))-(INDIRECT(ADDRESS(ROW()-4,COLUMN()))*(3^0.5))))-NORMSDIST(-1*((3*($A$2+(INDIRECT(ADDRESS(ROW()-4,COLUMN()))^2)/2))/(INDIRECT(ADDRESS(ROW()-4,COLUMN()))*(3^0.5))))),"00.00%")</f>
        <v>32.61%</v>
      </c>
      <c r="D9" s="3" t="str">
        <f ca="1">TEXT((NORMSDIST((((INDIRECT(ADDRESS(ROW()-4,COLUMN()))^2*3)+LN(2*(EXP(INDIRECT(ADDRESS(ROW()-4,COLUMN()))^2*3)-(INDIRECT(ADDRESS(ROW()-4,COLUMN()))^2*3)-1))-2*LN(EXP(INDIRECT(ADDRESS(ROW()-4,COLUMN()))^2*3)-1))^0.5)/2)-NORMSDIST(-(((INDIRECT(ADDRESS(ROW()-4,COLUMN()))^2*3)+LN(2*(EXP(INDIRECT(ADDRESS(ROW()-4,COLUMN()))^2*3)-(INDIRECT(ADDRESS(ROW()-4,COLUMN()))^2*3)-1))-2*LN(EXP(INDIRECT(ADDRESS(ROW()-4,COLUMN()))^2*3)-1))^0.5)/2)),"00.00%")</f>
        <v>19.33%</v>
      </c>
    </row>
    <row r="10" spans="1:4" s="3" customFormat="1" x14ac:dyDescent="0.2">
      <c r="A10" s="3">
        <v>4</v>
      </c>
      <c r="B10" s="3" t="str">
        <f ca="1">TEXT((EXP(-$A$2*4)*NORMSDIST(-1*((4*($A$2+(INDIRECT(ADDRESS(ROW()-5,COLUMN()))^2)/2))/(INDIRECT(ADDRESS(ROW()-5,COLUMN()))*(4^0.5))-(INDIRECT(ADDRESS(ROW()-5,COLUMN()))*(4^0.5))))-NORMSDIST(-1*((4*($A$2+(INDIRECT(ADDRESS(ROW()-5,COLUMN()))^2)/2))/(INDIRECT(ADDRESS(ROW()-5,COLUMN()))*(4^0.5))))),"00.00%")</f>
        <v>36.66%</v>
      </c>
      <c r="D10" s="3" t="str">
        <f ca="1">TEXT((NORMSDIST((((INDIRECT(ADDRESS(ROW()-5,COLUMN()))^2*4)+LN(2*(EXP(INDIRECT(ADDRESS(ROW()-5,COLUMN()))^2*4)-(INDIRECT(ADDRESS(ROW()-5,COLUMN()))^2*4)-1))-2*LN(EXP(INDIRECT(ADDRESS(ROW()-5,COLUMN()))^2*4)-1))^0.5)/2)-NORMSDIST(-(((INDIRECT(ADDRESS(ROW()-5,COLUMN()))^2*4)+LN(2*(EXP(INDIRECT(ADDRESS(ROW()-5,COLUMN()))^2*4)-(INDIRECT(ADDRESS(ROW()-5,COLUMN()))^2*4)-1))-2*LN(EXP(INDIRECT(ADDRESS(ROW()-5,COLUMN()))^2*4)-1))^0.5)/2)),"00.00%")</f>
        <v>21.70%</v>
      </c>
    </row>
    <row r="11" spans="1:4" s="3" customFormat="1" x14ac:dyDescent="0.2">
      <c r="A11" s="3">
        <v>5</v>
      </c>
      <c r="B11" s="3" t="str">
        <f ca="1">TEXT((EXP(-$A$2*5)*NORMSDIST(-1*((5*($A$2+(INDIRECT(ADDRESS(ROW()-6,COLUMN()))^2)/2))/(INDIRECT(ADDRESS(ROW()-6,COLUMN()))*(5^0.5))-(INDIRECT(ADDRESS(ROW()-6,COLUMN()))*(5^0.5))))-NORMSDIST(-1*((5*($A$2+(INDIRECT(ADDRESS(ROW()-6,COLUMN()))^2)/2))/(INDIRECT(ADDRESS(ROW()-6,COLUMN()))*(5^0.5))))),"00.00%")</f>
        <v>39.93%</v>
      </c>
      <c r="D11" s="3" t="str">
        <f ca="1">TEXT((NORMSDIST((((INDIRECT(ADDRESS(ROW()-6,COLUMN()))^2*5)+LN(2*(EXP(INDIRECT(ADDRESS(ROW()-6,COLUMN()))^2*5)-(INDIRECT(ADDRESS(ROW()-6,COLUMN()))^2*5)-1))-2*LN(EXP(INDIRECT(ADDRESS(ROW()-6,COLUMN()))^2*5)-1))^0.5)/2)-NORMSDIST(-(((INDIRECT(ADDRESS(ROW()-6,COLUMN()))^2*5)+LN(2*(EXP(INDIRECT(ADDRESS(ROW()-6,COLUMN()))^2*5)-(INDIRECT(ADDRESS(ROW()-6,COLUMN()))^2*5)-1))-2*LN(EXP(INDIRECT(ADDRESS(ROW()-6,COLUMN()))^2*5)-1))^0.5)/2)),"00.00%")</f>
        <v>23.59%</v>
      </c>
    </row>
    <row r="13" spans="1:4" s="3" customFormat="1" ht="16" thickBot="1" x14ac:dyDescent="0.25"/>
    <row r="14" spans="1:4" s="3" customFormat="1" ht="16" thickBot="1" x14ac:dyDescent="0.25">
      <c r="A14" s="3" t="s">
        <v>45</v>
      </c>
      <c r="B14" s="29">
        <f ca="1">(B9+D9)/2</f>
        <v>0.25969999999999999</v>
      </c>
    </row>
  </sheetData>
  <pageMargins left="0.75" right="0.75" top="1" bottom="1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Breakpoints</vt:lpstr>
      <vt:lpstr>DLOM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Microsoft Office User</cp:lastModifiedBy>
  <cp:revision/>
  <dcterms:created xsi:type="dcterms:W3CDTF">2016-05-04T09:18:03Z</dcterms:created>
  <dcterms:modified xsi:type="dcterms:W3CDTF">2016-05-04T17:40:34Z</dcterms:modified>
  <cp:category/>
  <dc:identifier/>
  <cp:contentStatus/>
  <dc:language/>
  <cp:version/>
</cp:coreProperties>
</file>